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9120" activeTab="0"/>
  </bookViews>
  <sheets>
    <sheet name="namen" sheetId="1" r:id="rId1"/>
    <sheet name="Blad2" sheetId="2" r:id="rId2"/>
    <sheet name="Blad3" sheetId="3" r:id="rId3"/>
  </sheets>
  <definedNames>
    <definedName name="_xlnm.Print_Titles" localSheetId="0">'namen'!$1:$3</definedName>
  </definedNames>
  <calcPr fullCalcOnLoad="1"/>
</workbook>
</file>

<file path=xl/comments1.xml><?xml version="1.0" encoding="utf-8"?>
<comments xmlns="http://schemas.openxmlformats.org/spreadsheetml/2006/main">
  <authors>
    <author>Gebruiker</author>
  </authors>
  <commentList>
    <comment ref="C4" authorId="0">
      <text>
        <r>
          <rPr>
            <b/>
            <sz val="9"/>
            <rFont val="Tahoma"/>
            <family val="0"/>
          </rPr>
          <t>Gebruiker:</t>
        </r>
        <r>
          <rPr>
            <sz val="9"/>
            <rFont val="Tahoma"/>
            <family val="0"/>
          </rPr>
          <t xml:space="preserve">
x zetten als joker gebruikt is.</t>
        </r>
      </text>
    </comment>
  </commentList>
</comments>
</file>

<file path=xl/sharedStrings.xml><?xml version="1.0" encoding="utf-8"?>
<sst xmlns="http://schemas.openxmlformats.org/spreadsheetml/2006/main" count="99" uniqueCount="56">
  <si>
    <t>Jesper Huiberts</t>
  </si>
  <si>
    <t>Lucas Walter</t>
  </si>
  <si>
    <t>Felix Tjeertes</t>
  </si>
  <si>
    <t>Milan Veul</t>
  </si>
  <si>
    <t>Thaam Roeleveld</t>
  </si>
  <si>
    <t>Marijn Nieuwkoop</t>
  </si>
  <si>
    <t>Rens Lubrecht</t>
  </si>
  <si>
    <t>Bregt Roeleveld</t>
  </si>
  <si>
    <t>Ilona van Delden</t>
  </si>
  <si>
    <t>Nynke Kaaij</t>
  </si>
  <si>
    <t>Luzy van Leeuwen</t>
  </si>
  <si>
    <t>Mariejet van Leeuwen</t>
  </si>
  <si>
    <t>Silva Kukler</t>
  </si>
  <si>
    <t>Elize Folten</t>
  </si>
  <si>
    <t>Sarah Klaver</t>
  </si>
  <si>
    <t>Lisan Tump</t>
  </si>
  <si>
    <t>Emilie Boorsma</t>
  </si>
  <si>
    <t>Nina Rozenga</t>
  </si>
  <si>
    <t>Lisa Groeneveld</t>
  </si>
  <si>
    <t>Yara Doelkahar</t>
  </si>
  <si>
    <t>Leilani de Haan</t>
  </si>
  <si>
    <t>Maud Meijerrathken</t>
  </si>
  <si>
    <t>Mara de Moes</t>
  </si>
  <si>
    <t>Ricardo Kok</t>
  </si>
  <si>
    <t>Roy Langenberg</t>
  </si>
  <si>
    <t>Erik Lubrecht</t>
  </si>
  <si>
    <t>Kees Tump</t>
  </si>
  <si>
    <t>Bernd Tump</t>
  </si>
  <si>
    <t>Job Zeegers</t>
  </si>
  <si>
    <t>Fleur van den Berg</t>
  </si>
  <si>
    <t>Marissa de Boer</t>
  </si>
  <si>
    <t>Imme Boon</t>
  </si>
  <si>
    <t>Maureen Box</t>
  </si>
  <si>
    <t>Elisa Godfroid</t>
  </si>
  <si>
    <t>Eline Langenberg</t>
  </si>
  <si>
    <t>Esther Lubrecht</t>
  </si>
  <si>
    <t>Emma Stevers</t>
  </si>
  <si>
    <t>Marit Tump</t>
  </si>
  <si>
    <t>Anniek Tump</t>
  </si>
  <si>
    <t>Esra Veul</t>
  </si>
  <si>
    <t>Britt van den Dobbelsteen</t>
  </si>
  <si>
    <t xml:space="preserve">Chris van den Dobbelsteen </t>
  </si>
  <si>
    <t>Naam</t>
  </si>
  <si>
    <t>Lindy de Vries</t>
  </si>
  <si>
    <t>Oscar Sybrandi</t>
  </si>
  <si>
    <t>Joker</t>
  </si>
  <si>
    <t>sprong</t>
  </si>
  <si>
    <t>brug</t>
  </si>
  <si>
    <t>vloer</t>
  </si>
  <si>
    <t>Totaal</t>
  </si>
  <si>
    <t>Plaats</t>
  </si>
  <si>
    <t>balk/voltige</t>
  </si>
  <si>
    <t>ringen</t>
  </si>
  <si>
    <t>rek</t>
  </si>
  <si>
    <t>Telstaat Onderlinge Wedstrijden 6 april 2014</t>
  </si>
  <si>
    <t>x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</si>
</sst>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"/>
    <numFmt numFmtId="179" formatCode="#,##0.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ashed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dashed"/>
    </border>
    <border>
      <left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3" fillId="20" borderId="9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8" borderId="10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0" fontId="0" fillId="8" borderId="14" xfId="0" applyFill="1" applyBorder="1" applyAlignment="1">
      <alignment/>
    </xf>
    <xf numFmtId="0" fontId="0" fillId="22" borderId="12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1" xfId="0" applyFill="1" applyBorder="1" applyAlignment="1">
      <alignment/>
    </xf>
    <xf numFmtId="0" fontId="0" fillId="22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8" borderId="12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3" borderId="18" xfId="0" applyFill="1" applyBorder="1" applyAlignment="1">
      <alignment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22" borderId="16" xfId="0" applyFill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0" xfId="0" applyFont="1" applyAlignment="1">
      <alignment/>
    </xf>
    <xf numFmtId="179" fontId="0" fillId="0" borderId="23" xfId="0" applyNumberFormat="1" applyBorder="1" applyAlignment="1" applyProtection="1">
      <alignment/>
      <protection locked="0"/>
    </xf>
    <xf numFmtId="179" fontId="0" fillId="0" borderId="17" xfId="0" applyNumberFormat="1" applyBorder="1" applyAlignment="1" applyProtection="1">
      <alignment/>
      <protection locked="0"/>
    </xf>
    <xf numFmtId="179" fontId="0" fillId="0" borderId="11" xfId="0" applyNumberFormat="1" applyFont="1" applyBorder="1" applyAlignment="1">
      <alignment/>
    </xf>
    <xf numFmtId="179" fontId="0" fillId="0" borderId="19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179" fontId="0" fillId="0" borderId="12" xfId="0" applyNumberFormat="1" applyFont="1" applyBorder="1" applyAlignment="1">
      <alignment/>
    </xf>
    <xf numFmtId="179" fontId="0" fillId="0" borderId="21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/>
      <protection locked="0"/>
    </xf>
    <xf numFmtId="179" fontId="0" fillId="0" borderId="13" xfId="0" applyNumberFormat="1" applyFont="1" applyBorder="1" applyAlignment="1">
      <alignment/>
    </xf>
    <xf numFmtId="179" fontId="0" fillId="0" borderId="20" xfId="0" applyNumberFormat="1" applyBorder="1" applyAlignment="1" applyProtection="1">
      <alignment/>
      <protection locked="0"/>
    </xf>
    <xf numFmtId="179" fontId="0" fillId="0" borderId="15" xfId="0" applyNumberFormat="1" applyBorder="1" applyAlignment="1" applyProtection="1">
      <alignment/>
      <protection locked="0"/>
    </xf>
    <xf numFmtId="179" fontId="0" fillId="0" borderId="14" xfId="0" applyNumberFormat="1" applyFont="1" applyBorder="1" applyAlignment="1">
      <alignment/>
    </xf>
    <xf numFmtId="179" fontId="0" fillId="0" borderId="22" xfId="0" applyNumberFormat="1" applyBorder="1" applyAlignment="1" applyProtection="1">
      <alignment/>
      <protection locked="0"/>
    </xf>
    <xf numFmtId="179" fontId="0" fillId="0" borderId="21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1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zoomScalePageLayoutView="0" workbookViewId="0" topLeftCell="A1">
      <pane ySplit="3" topLeftCell="BM4" activePane="bottomLeft" state="frozen"/>
      <selection pane="topLeft" activeCell="A1" sqref="A1"/>
      <selection pane="bottomLeft" activeCell="N7" sqref="N7"/>
    </sheetView>
  </sheetViews>
  <sheetFormatPr defaultColWidth="9.140625" defaultRowHeight="15"/>
  <cols>
    <col min="1" max="1" width="3.57421875" style="0" bestFit="1" customWidth="1"/>
    <col min="2" max="2" width="27.00390625" style="0" customWidth="1"/>
    <col min="3" max="3" width="5.7109375" style="0" bestFit="1" customWidth="1"/>
    <col min="6" max="6" width="11.7109375" style="0" bestFit="1" customWidth="1"/>
    <col min="12" max="12" width="14.00390625" style="0" bestFit="1" customWidth="1"/>
  </cols>
  <sheetData>
    <row r="1" spans="2:12" s="4" customFormat="1" ht="18.75">
      <c r="B1" s="3" t="s">
        <v>54</v>
      </c>
      <c r="C1"/>
      <c r="D1"/>
      <c r="E1"/>
      <c r="F1"/>
      <c r="G1"/>
      <c r="H1"/>
      <c r="I1"/>
      <c r="J1"/>
      <c r="K1"/>
      <c r="L1"/>
    </row>
    <row r="2" spans="2:12" s="4" customFormat="1" ht="18.75">
      <c r="B2" s="3"/>
      <c r="C2"/>
      <c r="D2"/>
      <c r="E2"/>
      <c r="F2"/>
      <c r="G2"/>
      <c r="H2"/>
      <c r="I2"/>
      <c r="J2"/>
      <c r="K2"/>
      <c r="L2"/>
    </row>
    <row r="3" spans="2:12" ht="15">
      <c r="B3" s="2" t="s">
        <v>42</v>
      </c>
      <c r="C3" s="24" t="s">
        <v>45</v>
      </c>
      <c r="D3" s="21" t="s">
        <v>46</v>
      </c>
      <c r="E3" s="17" t="s">
        <v>47</v>
      </c>
      <c r="F3" s="17" t="s">
        <v>51</v>
      </c>
      <c r="G3" s="17" t="s">
        <v>48</v>
      </c>
      <c r="H3" s="17" t="s">
        <v>52</v>
      </c>
      <c r="I3" s="17" t="s">
        <v>53</v>
      </c>
      <c r="J3" s="33" t="s">
        <v>49</v>
      </c>
      <c r="K3" s="34" t="s">
        <v>50</v>
      </c>
      <c r="L3" s="35"/>
    </row>
    <row r="4" spans="1:12" ht="15">
      <c r="A4" s="11">
        <v>1</v>
      </c>
      <c r="B4" s="9" t="s">
        <v>13</v>
      </c>
      <c r="C4" s="18" t="s">
        <v>55</v>
      </c>
      <c r="D4" s="36">
        <f>+(7.4+7.6)/2</f>
        <v>7.5</v>
      </c>
      <c r="E4" s="37">
        <f>8.5*2</f>
        <v>17</v>
      </c>
      <c r="F4" s="37">
        <v>8</v>
      </c>
      <c r="G4" s="37">
        <v>8.8</v>
      </c>
      <c r="H4" s="37"/>
      <c r="I4" s="37"/>
      <c r="J4" s="38">
        <f aca="true" t="shared" si="0" ref="J4:J32">SUM(D4:G4)</f>
        <v>41.3</v>
      </c>
      <c r="K4" s="27">
        <f>IF(J4&gt;0,RANK(J4,$J$4:$J$7),"")</f>
        <v>2</v>
      </c>
      <c r="L4" s="28" t="str">
        <f>IF((J4=MAX($J$4:$J$32)),"clubkampioen"," ")</f>
        <v> </v>
      </c>
    </row>
    <row r="5" spans="1:12" ht="15">
      <c r="A5" s="9">
        <v>2</v>
      </c>
      <c r="B5" s="9" t="s">
        <v>15</v>
      </c>
      <c r="C5" s="19" t="s">
        <v>55</v>
      </c>
      <c r="D5" s="39">
        <f>+(7.5+7.5)/2</f>
        <v>7.5</v>
      </c>
      <c r="E5" s="40">
        <f>8.3*2</f>
        <v>16.6</v>
      </c>
      <c r="F5" s="40">
        <v>9</v>
      </c>
      <c r="G5" s="40">
        <v>8.8</v>
      </c>
      <c r="H5" s="40"/>
      <c r="I5" s="40"/>
      <c r="J5" s="41">
        <f t="shared" si="0"/>
        <v>41.900000000000006</v>
      </c>
      <c r="K5" s="29">
        <f>IF(J5&gt;0,RANK(J5,$J$4:$J$7),"")</f>
        <v>1</v>
      </c>
      <c r="L5" s="28" t="str">
        <f aca="true" t="shared" si="1" ref="L5:L32">IF((J5=MAX($J$4:$J$32)),"clubkampioen"," ")</f>
        <v> </v>
      </c>
    </row>
    <row r="6" spans="1:12" ht="15">
      <c r="A6" s="9">
        <v>3</v>
      </c>
      <c r="B6" s="9" t="s">
        <v>9</v>
      </c>
      <c r="C6" s="19" t="s">
        <v>55</v>
      </c>
      <c r="D6" s="39">
        <f>+(7.4+7.7)/2</f>
        <v>7.550000000000001</v>
      </c>
      <c r="E6" s="40">
        <v>7.2</v>
      </c>
      <c r="F6" s="40">
        <v>8.7</v>
      </c>
      <c r="G6" s="40">
        <f>8.5*2</f>
        <v>17</v>
      </c>
      <c r="H6" s="40"/>
      <c r="I6" s="40"/>
      <c r="J6" s="41">
        <f t="shared" si="0"/>
        <v>40.45</v>
      </c>
      <c r="K6" s="29">
        <f>IF(J6&gt;0,RANK(J6,$J$4:$J$7),"")</f>
        <v>3</v>
      </c>
      <c r="L6" s="28" t="str">
        <f t="shared" si="1"/>
        <v> </v>
      </c>
    </row>
    <row r="7" spans="1:12" ht="15">
      <c r="A7" s="12">
        <v>4</v>
      </c>
      <c r="B7" s="12" t="s">
        <v>12</v>
      </c>
      <c r="C7" s="25" t="s">
        <v>55</v>
      </c>
      <c r="D7" s="42">
        <f>+(7.1+7.3)/2</f>
        <v>7.199999999999999</v>
      </c>
      <c r="E7" s="43">
        <f>7.5*2</f>
        <v>15</v>
      </c>
      <c r="F7" s="43">
        <v>8.4</v>
      </c>
      <c r="G7" s="43">
        <v>8.5</v>
      </c>
      <c r="H7" s="43"/>
      <c r="I7" s="43"/>
      <c r="J7" s="44">
        <f t="shared" si="0"/>
        <v>39.1</v>
      </c>
      <c r="K7" s="30">
        <f>IF(J7&gt;0,RANK(J7,$J$4:$J$7),"")</f>
        <v>4</v>
      </c>
      <c r="L7" s="28" t="str">
        <f t="shared" si="1"/>
        <v> </v>
      </c>
    </row>
    <row r="8" spans="1:12" ht="15">
      <c r="A8" s="9">
        <v>5</v>
      </c>
      <c r="B8" s="9" t="s">
        <v>7</v>
      </c>
      <c r="C8" s="19" t="s">
        <v>55</v>
      </c>
      <c r="D8" s="39">
        <f>+(6.8+7)/2*2</f>
        <v>13.8</v>
      </c>
      <c r="E8" s="40">
        <v>7</v>
      </c>
      <c r="F8" s="40">
        <v>8</v>
      </c>
      <c r="G8" s="40">
        <v>7.7</v>
      </c>
      <c r="H8" s="40"/>
      <c r="I8" s="40"/>
      <c r="J8" s="41">
        <f t="shared" si="0"/>
        <v>36.5</v>
      </c>
      <c r="K8" s="29">
        <f>IF(J8&gt;0,RANK(J8,$J$8:$J$11),"")</f>
        <v>3</v>
      </c>
      <c r="L8" s="28" t="str">
        <f t="shared" si="1"/>
        <v> </v>
      </c>
    </row>
    <row r="9" spans="1:12" ht="15">
      <c r="A9" s="9">
        <v>6</v>
      </c>
      <c r="B9" s="9" t="s">
        <v>16</v>
      </c>
      <c r="C9" s="19" t="s">
        <v>55</v>
      </c>
      <c r="D9" s="39">
        <f>+(6.6+6.8)/2</f>
        <v>6.699999999999999</v>
      </c>
      <c r="E9" s="40">
        <v>7</v>
      </c>
      <c r="F9" s="40">
        <v>8.3</v>
      </c>
      <c r="G9" s="40">
        <f>7.5*2</f>
        <v>15</v>
      </c>
      <c r="H9" s="40"/>
      <c r="I9" s="40"/>
      <c r="J9" s="41">
        <f t="shared" si="0"/>
        <v>37</v>
      </c>
      <c r="K9" s="29">
        <f>IF(J9&gt;0,RANK(J9,$J$8:$J$11),"")</f>
        <v>2</v>
      </c>
      <c r="L9" s="28" t="str">
        <f t="shared" si="1"/>
        <v> </v>
      </c>
    </row>
    <row r="10" spans="1:12" ht="15">
      <c r="A10" s="9">
        <v>7</v>
      </c>
      <c r="B10" s="9" t="s">
        <v>10</v>
      </c>
      <c r="C10" s="22" t="s">
        <v>55</v>
      </c>
      <c r="D10" s="39">
        <f>+(7+7.1)/2*2</f>
        <v>14.1</v>
      </c>
      <c r="E10" s="40">
        <v>6.5</v>
      </c>
      <c r="F10" s="40">
        <v>8.1</v>
      </c>
      <c r="G10" s="40">
        <v>7.4</v>
      </c>
      <c r="H10" s="40"/>
      <c r="I10" s="40"/>
      <c r="J10" s="41">
        <f t="shared" si="0"/>
        <v>36.1</v>
      </c>
      <c r="K10" s="29">
        <f>IF(J10&gt;0,RANK(J10,$J$8:$J$11),"")</f>
        <v>4</v>
      </c>
      <c r="L10" s="28" t="str">
        <f t="shared" si="1"/>
        <v> </v>
      </c>
    </row>
    <row r="11" spans="1:12" ht="15">
      <c r="A11" s="10">
        <v>8</v>
      </c>
      <c r="B11" s="10" t="s">
        <v>14</v>
      </c>
      <c r="C11" s="23" t="s">
        <v>55</v>
      </c>
      <c r="D11" s="45">
        <f>(7.8+7.2)/2*2</f>
        <v>15</v>
      </c>
      <c r="E11" s="46">
        <v>8.3</v>
      </c>
      <c r="F11" s="46">
        <v>8.5</v>
      </c>
      <c r="G11" s="46">
        <v>8.6</v>
      </c>
      <c r="H11" s="46"/>
      <c r="I11" s="46"/>
      <c r="J11" s="47">
        <f t="shared" si="0"/>
        <v>40.4</v>
      </c>
      <c r="K11" s="31">
        <f>IF(J11&gt;0,RANK(J11,$J$8:$J$11),"")</f>
        <v>1</v>
      </c>
      <c r="L11" s="28" t="str">
        <f t="shared" si="1"/>
        <v> </v>
      </c>
    </row>
    <row r="12" spans="1:12" ht="15">
      <c r="A12" s="5">
        <v>9</v>
      </c>
      <c r="B12" s="5" t="s">
        <v>18</v>
      </c>
      <c r="C12" s="19" t="s">
        <v>55</v>
      </c>
      <c r="D12" s="39">
        <f>(7.1+7)/2</f>
        <v>7.05</v>
      </c>
      <c r="E12" s="40">
        <f>8*2</f>
        <v>16</v>
      </c>
      <c r="F12" s="40">
        <v>8</v>
      </c>
      <c r="G12" s="40">
        <v>7.5</v>
      </c>
      <c r="H12" s="40"/>
      <c r="I12" s="40"/>
      <c r="J12" s="41">
        <f t="shared" si="0"/>
        <v>38.55</v>
      </c>
      <c r="K12" s="27">
        <f>IF(J12&gt;0,RANK(J12,$J$12:$J$15),"")</f>
        <v>4</v>
      </c>
      <c r="L12" s="28" t="str">
        <f t="shared" si="1"/>
        <v> </v>
      </c>
    </row>
    <row r="13" spans="1:12" ht="15">
      <c r="A13" s="6">
        <v>10</v>
      </c>
      <c r="B13" s="6" t="s">
        <v>22</v>
      </c>
      <c r="C13" s="19" t="s">
        <v>55</v>
      </c>
      <c r="D13" s="39">
        <f>(7.6+7.6)/2</f>
        <v>7.6</v>
      </c>
      <c r="E13" s="40">
        <f>8.5*2</f>
        <v>17</v>
      </c>
      <c r="F13" s="40">
        <v>8.2</v>
      </c>
      <c r="G13" s="40">
        <v>8.5</v>
      </c>
      <c r="H13" s="40"/>
      <c r="I13" s="40"/>
      <c r="J13" s="41">
        <f t="shared" si="0"/>
        <v>41.3</v>
      </c>
      <c r="K13" s="29">
        <f>IF(J13&gt;0,RANK(J13,$J$12:$J$15),"")</f>
        <v>2</v>
      </c>
      <c r="L13" s="28" t="str">
        <f t="shared" si="1"/>
        <v> </v>
      </c>
    </row>
    <row r="14" spans="1:12" ht="15">
      <c r="A14" s="6">
        <v>11</v>
      </c>
      <c r="B14" s="6" t="s">
        <v>21</v>
      </c>
      <c r="C14" s="19" t="s">
        <v>55</v>
      </c>
      <c r="D14" s="39">
        <f>+(8+7.8)/2</f>
        <v>7.9</v>
      </c>
      <c r="E14" s="40">
        <f>8.3*2</f>
        <v>16.6</v>
      </c>
      <c r="F14" s="40">
        <v>8.6</v>
      </c>
      <c r="G14" s="40">
        <v>8.3</v>
      </c>
      <c r="H14" s="40"/>
      <c r="I14" s="40"/>
      <c r="J14" s="41">
        <f t="shared" si="0"/>
        <v>41.400000000000006</v>
      </c>
      <c r="K14" s="29">
        <f>IF(J14&gt;0,RANK(J14,$J$12:$J$15),"")</f>
        <v>1</v>
      </c>
      <c r="L14" s="28" t="str">
        <f t="shared" si="1"/>
        <v> </v>
      </c>
    </row>
    <row r="15" spans="1:12" ht="15">
      <c r="A15" s="7">
        <v>12</v>
      </c>
      <c r="B15" s="7" t="s">
        <v>17</v>
      </c>
      <c r="C15" s="25" t="s">
        <v>55</v>
      </c>
      <c r="D15" s="42">
        <f>+(7.5+7.3)/2*2</f>
        <v>14.8</v>
      </c>
      <c r="E15" s="43">
        <v>8.5</v>
      </c>
      <c r="F15" s="43">
        <v>8</v>
      </c>
      <c r="G15" s="43">
        <v>8</v>
      </c>
      <c r="H15" s="43"/>
      <c r="I15" s="43"/>
      <c r="J15" s="44">
        <f t="shared" si="0"/>
        <v>39.3</v>
      </c>
      <c r="K15" s="30">
        <f>IF(J15&gt;0,RANK(J15,$J$12:$J$15),"")</f>
        <v>3</v>
      </c>
      <c r="L15" s="28" t="str">
        <f t="shared" si="1"/>
        <v> </v>
      </c>
    </row>
    <row r="16" spans="1:12" ht="15">
      <c r="A16" s="6">
        <v>14</v>
      </c>
      <c r="B16" s="6" t="s">
        <v>8</v>
      </c>
      <c r="C16" s="19" t="s">
        <v>55</v>
      </c>
      <c r="D16" s="39">
        <f>+(7.1+6.8)/2</f>
        <v>6.949999999999999</v>
      </c>
      <c r="E16" s="40">
        <v>7.7</v>
      </c>
      <c r="F16" s="40">
        <v>8.2</v>
      </c>
      <c r="G16" s="40">
        <f>8.2*2</f>
        <v>16.4</v>
      </c>
      <c r="H16" s="40"/>
      <c r="I16" s="40"/>
      <c r="J16" s="41">
        <f t="shared" si="0"/>
        <v>39.25</v>
      </c>
      <c r="K16" s="29">
        <f>IF(J16&gt;0,RANK(J16,$J$16:$J$19),"")</f>
        <v>3</v>
      </c>
      <c r="L16" s="28" t="str">
        <f t="shared" si="1"/>
        <v> </v>
      </c>
    </row>
    <row r="17" spans="1:12" ht="15">
      <c r="A17" s="6">
        <v>15</v>
      </c>
      <c r="B17" s="6" t="s">
        <v>20</v>
      </c>
      <c r="C17" s="22" t="s">
        <v>55</v>
      </c>
      <c r="D17" s="39">
        <f>+(7+7.1)/2</f>
        <v>7.05</v>
      </c>
      <c r="E17" s="40">
        <v>7.5</v>
      </c>
      <c r="F17" s="40">
        <v>7.7</v>
      </c>
      <c r="G17" s="40">
        <f>7.8*2</f>
        <v>15.6</v>
      </c>
      <c r="H17" s="40"/>
      <c r="I17" s="40"/>
      <c r="J17" s="41">
        <f t="shared" si="0"/>
        <v>37.85</v>
      </c>
      <c r="K17" s="29">
        <f>IF(J17&gt;0,RANK(J17,$J$16:$J$19),"")</f>
        <v>4</v>
      </c>
      <c r="L17" s="28" t="str">
        <f t="shared" si="1"/>
        <v> </v>
      </c>
    </row>
    <row r="18" spans="1:12" ht="15">
      <c r="A18" s="6">
        <v>16</v>
      </c>
      <c r="B18" s="6" t="s">
        <v>11</v>
      </c>
      <c r="C18" s="19" t="s">
        <v>55</v>
      </c>
      <c r="D18" s="39">
        <f>+(6.8+7)/2</f>
        <v>6.9</v>
      </c>
      <c r="E18" s="40">
        <v>7.5</v>
      </c>
      <c r="F18" s="40">
        <v>8</v>
      </c>
      <c r="G18" s="40">
        <f>8.8*2</f>
        <v>17.6</v>
      </c>
      <c r="H18" s="40"/>
      <c r="I18" s="40"/>
      <c r="J18" s="41">
        <f t="shared" si="0"/>
        <v>40</v>
      </c>
      <c r="K18" s="29">
        <f>IF(J18&gt;0,RANK(J18,$J$16:$J$19),"")</f>
        <v>1</v>
      </c>
      <c r="L18" s="28" t="str">
        <f t="shared" si="1"/>
        <v> </v>
      </c>
    </row>
    <row r="19" spans="1:12" s="13" customFormat="1" ht="15">
      <c r="A19" s="8">
        <v>17</v>
      </c>
      <c r="B19" s="8" t="s">
        <v>19</v>
      </c>
      <c r="C19" s="20" t="s">
        <v>55</v>
      </c>
      <c r="D19" s="45">
        <f>+(7+7.4)/2*2</f>
        <v>14.4</v>
      </c>
      <c r="E19" s="46">
        <v>8.3</v>
      </c>
      <c r="F19" s="46">
        <v>8.6</v>
      </c>
      <c r="G19" s="46">
        <v>8.6</v>
      </c>
      <c r="H19" s="46"/>
      <c r="I19" s="46"/>
      <c r="J19" s="47">
        <f t="shared" si="0"/>
        <v>39.900000000000006</v>
      </c>
      <c r="K19" s="31">
        <f>IF(J19&gt;0,RANK(J19,$J$16:$J$19),"")</f>
        <v>2</v>
      </c>
      <c r="L19" s="28" t="str">
        <f t="shared" si="1"/>
        <v> </v>
      </c>
    </row>
    <row r="20" spans="1:12" s="15" customFormat="1" ht="15">
      <c r="A20" s="9">
        <v>18</v>
      </c>
      <c r="B20" s="9" t="s">
        <v>40</v>
      </c>
      <c r="C20" s="19" t="s">
        <v>55</v>
      </c>
      <c r="D20" s="39">
        <f>(7.8+7.6)/2*2</f>
        <v>15.399999999999999</v>
      </c>
      <c r="E20" s="40">
        <v>7.2</v>
      </c>
      <c r="F20" s="40">
        <v>8.6</v>
      </c>
      <c r="G20" s="40">
        <v>8.8</v>
      </c>
      <c r="H20" s="40"/>
      <c r="I20" s="40"/>
      <c r="J20" s="41">
        <f t="shared" si="0"/>
        <v>40</v>
      </c>
      <c r="K20" s="29">
        <f>IF(J20&gt;0,RANK(J20,$J$20:$J$23),"")</f>
        <v>4</v>
      </c>
      <c r="L20" s="28" t="str">
        <f t="shared" si="1"/>
        <v> </v>
      </c>
    </row>
    <row r="21" spans="1:12" ht="15">
      <c r="A21" s="9">
        <v>19</v>
      </c>
      <c r="B21" s="9" t="s">
        <v>34</v>
      </c>
      <c r="C21" s="19" t="s">
        <v>55</v>
      </c>
      <c r="D21" s="39">
        <f>(7.7+7.8)/2</f>
        <v>7.75</v>
      </c>
      <c r="E21" s="40">
        <v>7.3</v>
      </c>
      <c r="F21" s="40">
        <v>8.3</v>
      </c>
      <c r="G21" s="40">
        <f>8.7*2</f>
        <v>17.4</v>
      </c>
      <c r="H21" s="40"/>
      <c r="I21" s="40"/>
      <c r="J21" s="41">
        <f t="shared" si="0"/>
        <v>40.75</v>
      </c>
      <c r="K21" s="29">
        <f>IF(J21&gt;0,RANK(J21,$J$20:$J$23),"")</f>
        <v>2</v>
      </c>
      <c r="L21" s="28" t="str">
        <f t="shared" si="1"/>
        <v> </v>
      </c>
    </row>
    <row r="22" spans="1:12" ht="15">
      <c r="A22" s="9">
        <v>20</v>
      </c>
      <c r="B22" s="9" t="s">
        <v>35</v>
      </c>
      <c r="C22" s="19" t="s">
        <v>55</v>
      </c>
      <c r="D22" s="39">
        <f>+(8.1+7.9)/2</f>
        <v>8</v>
      </c>
      <c r="E22" s="40">
        <f>7*2</f>
        <v>14</v>
      </c>
      <c r="F22" s="40">
        <v>9</v>
      </c>
      <c r="G22" s="40">
        <v>9.1</v>
      </c>
      <c r="H22" s="40"/>
      <c r="I22" s="48"/>
      <c r="J22" s="41">
        <f t="shared" si="0"/>
        <v>40.1</v>
      </c>
      <c r="K22" s="29">
        <f>IF(J22&gt;0,RANK(J22,$J$20:$J$23),"")</f>
        <v>3</v>
      </c>
      <c r="L22" s="28" t="str">
        <f t="shared" si="1"/>
        <v> </v>
      </c>
    </row>
    <row r="23" spans="1:12" ht="15">
      <c r="A23" s="12">
        <v>21</v>
      </c>
      <c r="B23" s="12" t="s">
        <v>43</v>
      </c>
      <c r="C23" s="25" t="s">
        <v>55</v>
      </c>
      <c r="D23" s="42">
        <f>+(8.2+7.8)/2</f>
        <v>8</v>
      </c>
      <c r="E23" s="43">
        <v>8.3</v>
      </c>
      <c r="F23" s="43">
        <v>8.5</v>
      </c>
      <c r="G23" s="43">
        <f>8.9*2</f>
        <v>17.8</v>
      </c>
      <c r="H23" s="43"/>
      <c r="I23" s="43"/>
      <c r="J23" s="44">
        <f t="shared" si="0"/>
        <v>42.6</v>
      </c>
      <c r="K23" s="30">
        <f>IF(J23&gt;0,RANK(J23,$J$20:$J$23),"")</f>
        <v>1</v>
      </c>
      <c r="L23" s="28" t="str">
        <f t="shared" si="1"/>
        <v>clubkampioen</v>
      </c>
    </row>
    <row r="24" spans="1:12" ht="15">
      <c r="A24" s="9">
        <v>22</v>
      </c>
      <c r="B24" s="9" t="s">
        <v>33</v>
      </c>
      <c r="C24" s="19" t="s">
        <v>55</v>
      </c>
      <c r="D24" s="39">
        <f>+(8.1+7.9)/2</f>
        <v>8</v>
      </c>
      <c r="E24" s="40">
        <f>7*2</f>
        <v>14</v>
      </c>
      <c r="F24" s="40">
        <v>8</v>
      </c>
      <c r="G24" s="40">
        <v>8.1</v>
      </c>
      <c r="H24" s="40"/>
      <c r="I24" s="40"/>
      <c r="J24" s="41">
        <f t="shared" si="0"/>
        <v>38.1</v>
      </c>
      <c r="K24" s="29">
        <f>IF(J24&gt;0,RANK(J24,$J$24:$J$25),"")</f>
        <v>1</v>
      </c>
      <c r="L24" s="28" t="str">
        <f t="shared" si="1"/>
        <v> </v>
      </c>
    </row>
    <row r="25" spans="1:12" ht="15">
      <c r="A25" s="10">
        <v>23</v>
      </c>
      <c r="B25" s="10" t="s">
        <v>31</v>
      </c>
      <c r="C25" s="20" t="s">
        <v>55</v>
      </c>
      <c r="D25" s="45">
        <f>+(7.4+7)/2</f>
        <v>7.2</v>
      </c>
      <c r="E25" s="46">
        <v>7</v>
      </c>
      <c r="F25" s="46">
        <v>7.2</v>
      </c>
      <c r="G25" s="46">
        <f>8.2*2</f>
        <v>16.4</v>
      </c>
      <c r="H25" s="46"/>
      <c r="I25" s="46"/>
      <c r="J25" s="47">
        <f t="shared" si="0"/>
        <v>37.8</v>
      </c>
      <c r="K25" s="29">
        <f>IF(J25&gt;0,RANK(J25,$J$24:$J$25),"")</f>
        <v>2</v>
      </c>
      <c r="L25" s="28" t="str">
        <f t="shared" si="1"/>
        <v> </v>
      </c>
    </row>
    <row r="26" spans="1:12" ht="15">
      <c r="A26" s="5">
        <v>24</v>
      </c>
      <c r="B26" s="6" t="s">
        <v>38</v>
      </c>
      <c r="C26" s="18" t="s">
        <v>55</v>
      </c>
      <c r="D26" s="36">
        <f>(7.9+7.9)/2</f>
        <v>7.9</v>
      </c>
      <c r="E26" s="37">
        <v>7.5</v>
      </c>
      <c r="F26" s="37">
        <f>8.2*2</f>
        <v>16.4</v>
      </c>
      <c r="G26" s="37">
        <v>8.1</v>
      </c>
      <c r="H26" s="37"/>
      <c r="I26" s="37"/>
      <c r="J26" s="41">
        <f t="shared" si="0"/>
        <v>39.9</v>
      </c>
      <c r="K26" s="27">
        <f>IF(J26&gt;0,RANK(J26,$J$26:$J$29),"")</f>
        <v>3</v>
      </c>
      <c r="L26" s="28" t="str">
        <f t="shared" si="1"/>
        <v> </v>
      </c>
    </row>
    <row r="27" spans="1:12" ht="15">
      <c r="A27" s="6">
        <v>25</v>
      </c>
      <c r="B27" s="16" t="s">
        <v>36</v>
      </c>
      <c r="C27" s="19" t="s">
        <v>55</v>
      </c>
      <c r="D27" s="39">
        <f>+(7.4+7.7)/2</f>
        <v>7.550000000000001</v>
      </c>
      <c r="E27" s="40">
        <v>7.7</v>
      </c>
      <c r="F27" s="40">
        <v>9.2</v>
      </c>
      <c r="G27" s="40">
        <f>8.7*2</f>
        <v>17.4</v>
      </c>
      <c r="H27" s="40"/>
      <c r="I27" s="40"/>
      <c r="J27" s="41">
        <f t="shared" si="0"/>
        <v>41.849999999999994</v>
      </c>
      <c r="K27" s="29">
        <f>IF(J27&gt;0,RANK(J27,$J$26:$J$29),"")</f>
        <v>1</v>
      </c>
      <c r="L27" s="28" t="str">
        <f t="shared" si="1"/>
        <v> </v>
      </c>
    </row>
    <row r="28" spans="1:12" ht="15">
      <c r="A28" s="6">
        <v>26</v>
      </c>
      <c r="B28" s="6" t="s">
        <v>39</v>
      </c>
      <c r="C28" s="19" t="s">
        <v>55</v>
      </c>
      <c r="D28" s="39">
        <f>+(8.1+8.2)/2*2</f>
        <v>16.299999999999997</v>
      </c>
      <c r="E28" s="40">
        <v>8</v>
      </c>
      <c r="F28" s="40">
        <v>7.8</v>
      </c>
      <c r="G28" s="40">
        <v>8.1</v>
      </c>
      <c r="H28" s="40"/>
      <c r="I28" s="40"/>
      <c r="J28" s="41">
        <f t="shared" si="0"/>
        <v>40.199999999999996</v>
      </c>
      <c r="K28" s="29">
        <f>IF(J28&gt;0,RANK(J28,$J$26:$J$29),"")</f>
        <v>2</v>
      </c>
      <c r="L28" s="28" t="str">
        <f t="shared" si="1"/>
        <v> </v>
      </c>
    </row>
    <row r="29" spans="1:12" ht="15">
      <c r="A29" s="7">
        <v>27</v>
      </c>
      <c r="B29" s="7" t="s">
        <v>32</v>
      </c>
      <c r="C29" s="25" t="s">
        <v>55</v>
      </c>
      <c r="D29" s="42">
        <f>+(7.5+7.4)/2</f>
        <v>7.45</v>
      </c>
      <c r="E29" s="43">
        <v>7.3</v>
      </c>
      <c r="F29" s="43">
        <v>8.2</v>
      </c>
      <c r="G29" s="43">
        <f>7.7*2</f>
        <v>15.4</v>
      </c>
      <c r="H29" s="43"/>
      <c r="I29" s="43"/>
      <c r="J29" s="44">
        <f t="shared" si="0"/>
        <v>38.35</v>
      </c>
      <c r="K29" s="30">
        <f>IF(J29&gt;0,RANK(J29,$J$26:$J$29),"")</f>
        <v>4</v>
      </c>
      <c r="L29" s="28" t="str">
        <f t="shared" si="1"/>
        <v> </v>
      </c>
    </row>
    <row r="30" spans="1:12" ht="15">
      <c r="A30" s="6">
        <v>28</v>
      </c>
      <c r="B30" s="6" t="s">
        <v>29</v>
      </c>
      <c r="C30" s="19" t="s">
        <v>55</v>
      </c>
      <c r="D30" s="39">
        <f>(7.7+7.4)/2</f>
        <v>7.550000000000001</v>
      </c>
      <c r="E30" s="40"/>
      <c r="F30" s="40"/>
      <c r="G30" s="40">
        <f>8.5*2</f>
        <v>17</v>
      </c>
      <c r="H30" s="40"/>
      <c r="I30" s="40"/>
      <c r="J30" s="41">
        <f t="shared" si="0"/>
        <v>24.55</v>
      </c>
      <c r="K30" s="29">
        <f>IF(J30&gt;0,RANK(J30,$J$30:$J$32),"")</f>
        <v>3</v>
      </c>
      <c r="L30" s="28" t="str">
        <f t="shared" si="1"/>
        <v> </v>
      </c>
    </row>
    <row r="31" spans="1:12" ht="15">
      <c r="A31" s="6">
        <v>29</v>
      </c>
      <c r="B31" s="6" t="s">
        <v>30</v>
      </c>
      <c r="C31" s="22" t="s">
        <v>55</v>
      </c>
      <c r="D31" s="39">
        <f>+(8.1+6.5)/2*2</f>
        <v>14.6</v>
      </c>
      <c r="E31" s="40">
        <v>7.4</v>
      </c>
      <c r="F31" s="40">
        <v>8.4</v>
      </c>
      <c r="G31" s="40">
        <v>8.7</v>
      </c>
      <c r="H31" s="40"/>
      <c r="I31" s="40"/>
      <c r="J31" s="41">
        <f t="shared" si="0"/>
        <v>39.099999999999994</v>
      </c>
      <c r="K31" s="29">
        <f>IF(J31&gt;0,RANK(J31,$J$30:$J$32),"")</f>
        <v>2</v>
      </c>
      <c r="L31" s="28" t="str">
        <f t="shared" si="1"/>
        <v> </v>
      </c>
    </row>
    <row r="32" spans="1:12" ht="15">
      <c r="A32" s="8">
        <v>30</v>
      </c>
      <c r="B32" s="8" t="s">
        <v>37</v>
      </c>
      <c r="C32" s="23" t="s">
        <v>55</v>
      </c>
      <c r="D32" s="45">
        <f>+(7.5+8)/2*2</f>
        <v>15.5</v>
      </c>
      <c r="E32" s="46">
        <v>7.2</v>
      </c>
      <c r="F32" s="46">
        <v>8.6</v>
      </c>
      <c r="G32" s="46">
        <v>8.4</v>
      </c>
      <c r="H32" s="46"/>
      <c r="I32" s="46"/>
      <c r="J32" s="47">
        <f t="shared" si="0"/>
        <v>39.699999999999996</v>
      </c>
      <c r="K32" s="31">
        <f>IF(J32&gt;0,RANK(J32,$J$30:$J$32),"")</f>
        <v>1</v>
      </c>
      <c r="L32" s="28" t="str">
        <f t="shared" si="1"/>
        <v> </v>
      </c>
    </row>
    <row r="33" spans="1:12" ht="15">
      <c r="A33" s="11">
        <v>31</v>
      </c>
      <c r="B33" s="11" t="s">
        <v>4</v>
      </c>
      <c r="C33" s="19" t="s">
        <v>55</v>
      </c>
      <c r="D33" s="39">
        <f>(7.4+7.6)/2</f>
        <v>7.5</v>
      </c>
      <c r="E33" s="40">
        <f>7.7*2</f>
        <v>15.4</v>
      </c>
      <c r="F33" s="40">
        <v>7.4</v>
      </c>
      <c r="G33" s="40">
        <v>8.5</v>
      </c>
      <c r="H33" s="40">
        <v>7.5</v>
      </c>
      <c r="I33" s="40">
        <v>8</v>
      </c>
      <c r="J33" s="41">
        <f>SUM(D33:I33)</f>
        <v>54.3</v>
      </c>
      <c r="K33" s="32">
        <f>IF(J33&gt;0,RANK(J33,$J$33:$J$37),"")</f>
        <v>2</v>
      </c>
      <c r="L33" s="28" t="str">
        <f>IF((J33=MAX($J$33:$J$47)),"clubkampioen"," ")</f>
        <v> </v>
      </c>
    </row>
    <row r="34" spans="1:12" ht="15">
      <c r="A34" s="9">
        <v>32</v>
      </c>
      <c r="B34" s="9" t="s">
        <v>6</v>
      </c>
      <c r="C34" s="19" t="s">
        <v>55</v>
      </c>
      <c r="D34" s="39">
        <f>(7+7.4)/2</f>
        <v>7.2</v>
      </c>
      <c r="E34" s="40">
        <v>7.5</v>
      </c>
      <c r="F34" s="40">
        <v>7.3</v>
      </c>
      <c r="G34" s="40">
        <v>7.8</v>
      </c>
      <c r="H34" s="40">
        <f>7.3*2</f>
        <v>14.6</v>
      </c>
      <c r="I34" s="40">
        <v>7</v>
      </c>
      <c r="J34" s="41">
        <f aca="true" t="shared" si="2" ref="J34:J47">SUM(D34:I34)</f>
        <v>51.4</v>
      </c>
      <c r="K34" s="32">
        <f>IF(J34&gt;0,RANK(J34,$J$33:$J$37),"")</f>
        <v>4</v>
      </c>
      <c r="L34" s="28" t="str">
        <f aca="true" t="shared" si="3" ref="L34:L47">IF((J34=MAX($J$33:$J$47)),"clubkampioen"," ")</f>
        <v> </v>
      </c>
    </row>
    <row r="35" spans="1:12" ht="15">
      <c r="A35" s="9">
        <v>33</v>
      </c>
      <c r="B35" s="9" t="s">
        <v>0</v>
      </c>
      <c r="C35" s="19" t="s">
        <v>55</v>
      </c>
      <c r="D35" s="39">
        <f>(7+7.1)/2</f>
        <v>7.05</v>
      </c>
      <c r="E35" s="40">
        <f>7.3*2</f>
        <v>14.6</v>
      </c>
      <c r="F35" s="40">
        <v>7.2</v>
      </c>
      <c r="G35" s="40">
        <v>7.8</v>
      </c>
      <c r="H35" s="40">
        <v>7.2</v>
      </c>
      <c r="I35" s="40">
        <v>7.3</v>
      </c>
      <c r="J35" s="41">
        <f t="shared" si="2"/>
        <v>51.15</v>
      </c>
      <c r="K35" s="32">
        <f>IF(J35&gt;0,RANK(J35,$J$33:$J$37),"")</f>
        <v>5</v>
      </c>
      <c r="L35" s="28" t="str">
        <f t="shared" si="3"/>
        <v> </v>
      </c>
    </row>
    <row r="36" spans="1:12" ht="15">
      <c r="A36" s="9">
        <v>34</v>
      </c>
      <c r="B36" s="9" t="s">
        <v>3</v>
      </c>
      <c r="C36" s="19" t="s">
        <v>55</v>
      </c>
      <c r="D36" s="39">
        <f>+(7.8+7.6)/2*2</f>
        <v>15.399999999999999</v>
      </c>
      <c r="E36" s="40">
        <v>7.5</v>
      </c>
      <c r="F36" s="40">
        <v>7.5</v>
      </c>
      <c r="G36" s="40">
        <v>9</v>
      </c>
      <c r="H36" s="40">
        <v>7.4</v>
      </c>
      <c r="I36" s="40">
        <v>8.2</v>
      </c>
      <c r="J36" s="41">
        <f t="shared" si="2"/>
        <v>55</v>
      </c>
      <c r="K36" s="32">
        <f>IF(J36&gt;0,RANK(J36,$J$33:$J$37),"")</f>
        <v>1</v>
      </c>
      <c r="L36" s="28" t="str">
        <f t="shared" si="3"/>
        <v> </v>
      </c>
    </row>
    <row r="37" spans="1:12" ht="15">
      <c r="A37" s="12">
        <v>35</v>
      </c>
      <c r="B37" s="12" t="s">
        <v>44</v>
      </c>
      <c r="C37" s="25" t="s">
        <v>55</v>
      </c>
      <c r="D37" s="42">
        <f>+(7.2+7)/2</f>
        <v>7.1</v>
      </c>
      <c r="E37" s="43">
        <v>7.5</v>
      </c>
      <c r="F37" s="43">
        <v>7.3</v>
      </c>
      <c r="G37" s="43">
        <v>8.8</v>
      </c>
      <c r="H37" s="43">
        <f>7.2*2</f>
        <v>14.4</v>
      </c>
      <c r="I37" s="43">
        <v>7</v>
      </c>
      <c r="J37" s="44">
        <f t="shared" si="2"/>
        <v>52.1</v>
      </c>
      <c r="K37" s="30">
        <f>IF(J37&gt;0,RANK(J37,$J$33:$J$37),"")</f>
        <v>3</v>
      </c>
      <c r="L37" s="28" t="str">
        <f t="shared" si="3"/>
        <v> </v>
      </c>
    </row>
    <row r="38" spans="1:12" ht="15">
      <c r="A38" s="9">
        <v>36</v>
      </c>
      <c r="B38" s="9" t="s">
        <v>5</v>
      </c>
      <c r="C38" s="19" t="s">
        <v>55</v>
      </c>
      <c r="D38" s="39">
        <f>+(7.1+7.1)/2*2</f>
        <v>14.2</v>
      </c>
      <c r="E38" s="40">
        <v>7.4</v>
      </c>
      <c r="F38" s="40">
        <v>7.5</v>
      </c>
      <c r="G38" s="40">
        <v>7.5</v>
      </c>
      <c r="H38" s="40">
        <v>7.3</v>
      </c>
      <c r="I38" s="40">
        <v>7.2</v>
      </c>
      <c r="J38" s="41">
        <f t="shared" si="2"/>
        <v>51.1</v>
      </c>
      <c r="K38" s="32">
        <f>IF(J38&gt;0,RANK(J38,$J$38:$J$40),"")</f>
        <v>3</v>
      </c>
      <c r="L38" s="28" t="str">
        <f t="shared" si="3"/>
        <v> </v>
      </c>
    </row>
    <row r="39" spans="1:12" ht="15">
      <c r="A39" s="9">
        <v>37</v>
      </c>
      <c r="B39" s="9" t="s">
        <v>1</v>
      </c>
      <c r="C39" s="19" t="s">
        <v>55</v>
      </c>
      <c r="D39" s="39">
        <f>+(7.2+6.9)/2</f>
        <v>7.050000000000001</v>
      </c>
      <c r="E39" s="40">
        <v>7.3</v>
      </c>
      <c r="F39" s="40">
        <v>7.4</v>
      </c>
      <c r="G39" s="40">
        <f>8.2*2</f>
        <v>16.4</v>
      </c>
      <c r="H39" s="40">
        <v>7.1</v>
      </c>
      <c r="I39" s="40">
        <v>7</v>
      </c>
      <c r="J39" s="41">
        <f t="shared" si="2"/>
        <v>52.25</v>
      </c>
      <c r="K39" s="32">
        <f>IF(J39&gt;0,RANK(J39,$J$38:$J$40),"")</f>
        <v>1</v>
      </c>
      <c r="L39" s="28" t="str">
        <f t="shared" si="3"/>
        <v> </v>
      </c>
    </row>
    <row r="40" spans="1:12" ht="15">
      <c r="A40" s="10">
        <v>38</v>
      </c>
      <c r="B40" s="10" t="s">
        <v>2</v>
      </c>
      <c r="C40" s="23" t="s">
        <v>55</v>
      </c>
      <c r="D40" s="45">
        <f>+(7.3+7.1)/2</f>
        <v>7.199999999999999</v>
      </c>
      <c r="E40" s="46">
        <v>7.2</v>
      </c>
      <c r="F40" s="46">
        <v>7.3</v>
      </c>
      <c r="G40" s="46">
        <f>7.7*2</f>
        <v>15.4</v>
      </c>
      <c r="H40" s="46">
        <v>7.2</v>
      </c>
      <c r="I40" s="46">
        <v>7.2</v>
      </c>
      <c r="J40" s="47">
        <f t="shared" si="2"/>
        <v>51.50000000000001</v>
      </c>
      <c r="K40" s="32">
        <f>IF(J40&gt;0,RANK(J40,$J$38:$J$40),"")</f>
        <v>2</v>
      </c>
      <c r="L40" s="28" t="str">
        <f t="shared" si="3"/>
        <v> </v>
      </c>
    </row>
    <row r="41" spans="1:12" ht="15">
      <c r="A41" s="5">
        <v>39</v>
      </c>
      <c r="B41" s="5" t="s">
        <v>25</v>
      </c>
      <c r="C41" s="19" t="s">
        <v>55</v>
      </c>
      <c r="D41" s="39">
        <f>+(8+8)/2</f>
        <v>8</v>
      </c>
      <c r="E41" s="40">
        <f>7.7*2</f>
        <v>15.4</v>
      </c>
      <c r="F41" s="40">
        <v>7</v>
      </c>
      <c r="G41" s="40">
        <v>7.7</v>
      </c>
      <c r="H41" s="40">
        <v>7.3</v>
      </c>
      <c r="I41" s="40">
        <v>8.2</v>
      </c>
      <c r="J41" s="41">
        <f t="shared" si="2"/>
        <v>53.599999999999994</v>
      </c>
      <c r="K41" s="27">
        <f>IF(J41&gt;0,RANK(J41,$J$41:$J$43),"")</f>
        <v>3</v>
      </c>
      <c r="L41" s="28" t="str">
        <f t="shared" si="3"/>
        <v> </v>
      </c>
    </row>
    <row r="42" spans="1:12" ht="15">
      <c r="A42" s="6">
        <v>40</v>
      </c>
      <c r="B42" s="6" t="s">
        <v>26</v>
      </c>
      <c r="C42" s="22" t="s">
        <v>55</v>
      </c>
      <c r="D42" s="39">
        <f>(7.5+7.7)/2</f>
        <v>7.6</v>
      </c>
      <c r="E42" s="40">
        <v>7.6</v>
      </c>
      <c r="F42" s="40">
        <v>7.2</v>
      </c>
      <c r="G42" s="40">
        <f>8.4*2</f>
        <v>16.8</v>
      </c>
      <c r="H42" s="40">
        <v>7.2</v>
      </c>
      <c r="I42" s="40">
        <v>7.5</v>
      </c>
      <c r="J42" s="41">
        <f t="shared" si="2"/>
        <v>53.900000000000006</v>
      </c>
      <c r="K42" s="29">
        <f>IF(J42&gt;0,RANK(J42,$J$41:$J$43),"")</f>
        <v>2</v>
      </c>
      <c r="L42" s="28" t="str">
        <f t="shared" si="3"/>
        <v> </v>
      </c>
    </row>
    <row r="43" spans="1:12" ht="15">
      <c r="A43" s="7">
        <v>41</v>
      </c>
      <c r="B43" s="7" t="s">
        <v>24</v>
      </c>
      <c r="C43" s="26" t="s">
        <v>55</v>
      </c>
      <c r="D43" s="49">
        <f>(8.2+7.9)/2</f>
        <v>8.05</v>
      </c>
      <c r="E43" s="50">
        <v>8.2</v>
      </c>
      <c r="F43" s="50">
        <v>7.9</v>
      </c>
      <c r="G43" s="50">
        <f>8.8*2</f>
        <v>17.6</v>
      </c>
      <c r="H43" s="50">
        <v>8</v>
      </c>
      <c r="I43" s="50">
        <v>8.5</v>
      </c>
      <c r="J43" s="44">
        <f t="shared" si="2"/>
        <v>58.25</v>
      </c>
      <c r="K43" s="30">
        <f>IF(J43&gt;0,RANK(J43,$J$41:$J$43),"")</f>
        <v>1</v>
      </c>
      <c r="L43" s="28" t="str">
        <f t="shared" si="3"/>
        <v>clubkampioen</v>
      </c>
    </row>
    <row r="44" spans="1:12" ht="15">
      <c r="A44" s="6">
        <v>42</v>
      </c>
      <c r="B44" s="6" t="s">
        <v>27</v>
      </c>
      <c r="C44" s="13" t="s">
        <v>55</v>
      </c>
      <c r="D44" s="51">
        <f>(7.6+8.2)/2*2</f>
        <v>15.799999999999999</v>
      </c>
      <c r="E44" s="52">
        <v>7.8</v>
      </c>
      <c r="F44" s="52">
        <v>7.2</v>
      </c>
      <c r="G44" s="52">
        <v>8</v>
      </c>
      <c r="H44" s="52">
        <v>7.3</v>
      </c>
      <c r="I44" s="52">
        <v>7.9</v>
      </c>
      <c r="J44" s="41">
        <f t="shared" si="2"/>
        <v>53.99999999999999</v>
      </c>
      <c r="K44" s="29">
        <f>IF(J44&gt;0,RANK(J44,$J$44:$J$47),"")</f>
        <v>2</v>
      </c>
      <c r="L44" s="28" t="str">
        <f t="shared" si="3"/>
        <v> </v>
      </c>
    </row>
    <row r="45" spans="1:12" ht="15">
      <c r="A45" s="6">
        <v>43</v>
      </c>
      <c r="B45" s="6" t="s">
        <v>41</v>
      </c>
      <c r="C45" s="13" t="s">
        <v>55</v>
      </c>
      <c r="D45" s="51">
        <f>+(7.6+7.8)/2</f>
        <v>7.699999999999999</v>
      </c>
      <c r="E45" s="52">
        <f>7.6*2</f>
        <v>15.2</v>
      </c>
      <c r="F45" s="52">
        <v>7.1</v>
      </c>
      <c r="G45" s="52">
        <v>7.4</v>
      </c>
      <c r="H45" s="52">
        <v>7.1</v>
      </c>
      <c r="I45" s="52">
        <v>8</v>
      </c>
      <c r="J45" s="41">
        <f t="shared" si="2"/>
        <v>52.5</v>
      </c>
      <c r="K45" s="29">
        <f>IF(J45&gt;0,RANK(J45,$J$44:$J$47),"")</f>
        <v>3</v>
      </c>
      <c r="L45" s="28" t="str">
        <f t="shared" si="3"/>
        <v> </v>
      </c>
    </row>
    <row r="46" spans="1:12" ht="15">
      <c r="A46" s="6">
        <v>44</v>
      </c>
      <c r="B46" s="6" t="s">
        <v>28</v>
      </c>
      <c r="C46" s="13" t="s">
        <v>55</v>
      </c>
      <c r="D46" s="51">
        <f>+(6.9+7.1)/2</f>
        <v>7</v>
      </c>
      <c r="E46" s="52">
        <f>7.6*2</f>
        <v>15.2</v>
      </c>
      <c r="F46" s="52">
        <v>7</v>
      </c>
      <c r="G46" s="52">
        <v>7</v>
      </c>
      <c r="H46" s="52">
        <v>7</v>
      </c>
      <c r="I46" s="52">
        <v>7</v>
      </c>
      <c r="J46" s="41">
        <f t="shared" si="2"/>
        <v>50.2</v>
      </c>
      <c r="K46" s="29">
        <f>IF(J46&gt;0,RANK(J46,$J$44:$J$47),"")</f>
        <v>4</v>
      </c>
      <c r="L46" s="28" t="str">
        <f t="shared" si="3"/>
        <v> </v>
      </c>
    </row>
    <row r="47" spans="1:12" ht="15">
      <c r="A47" s="8">
        <v>45</v>
      </c>
      <c r="B47" s="8" t="s">
        <v>23</v>
      </c>
      <c r="C47" s="14" t="s">
        <v>55</v>
      </c>
      <c r="D47" s="53">
        <f>+(7.9+8.3)/2*2</f>
        <v>16.200000000000003</v>
      </c>
      <c r="E47" s="54">
        <v>7.7</v>
      </c>
      <c r="F47" s="54">
        <v>7.3</v>
      </c>
      <c r="G47" s="54">
        <v>8.5</v>
      </c>
      <c r="H47" s="54">
        <v>7</v>
      </c>
      <c r="I47" s="54">
        <v>7.7</v>
      </c>
      <c r="J47" s="47">
        <f t="shared" si="2"/>
        <v>54.400000000000006</v>
      </c>
      <c r="K47" s="31">
        <f>IF(J47&gt;0,RANK(J47,$J$44:$J$47),"")</f>
        <v>1</v>
      </c>
      <c r="L47" s="28" t="str">
        <f t="shared" si="3"/>
        <v> </v>
      </c>
    </row>
  </sheetData>
  <sheetProtection/>
  <printOptions gridLines="1"/>
  <pageMargins left="0.7086614173228347" right="0.7086614173228347" top="0.15748031496062992" bottom="0.1968503937007874" header="0.31496062992125984" footer="0.31496062992125984"/>
  <pageSetup fitToHeight="1" fitToWidth="1" horizontalDpi="300" verticalDpi="300"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***</cp:lastModifiedBy>
  <cp:lastPrinted>2012-09-10T14:58:39Z</cp:lastPrinted>
  <dcterms:created xsi:type="dcterms:W3CDTF">2014-03-23T11:54:31Z</dcterms:created>
  <dcterms:modified xsi:type="dcterms:W3CDTF">2014-04-06T18:59:52Z</dcterms:modified>
  <cp:category/>
  <cp:version/>
  <cp:contentType/>
  <cp:contentStatus/>
</cp:coreProperties>
</file>